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5600" windowHeight="9240" activeTab="1"/>
  </bookViews>
  <sheets>
    <sheet name="Condicionales 1" sheetId="2" r:id="rId1"/>
    <sheet name="Condicionales 2" sheetId="1" r:id="rId2"/>
  </sheets>
  <calcPr calcId="125725"/>
</workbook>
</file>

<file path=xl/calcChain.xml><?xml version="1.0" encoding="utf-8"?>
<calcChain xmlns="http://schemas.openxmlformats.org/spreadsheetml/2006/main">
  <c r="Q5" i="1"/>
  <c r="Q6"/>
  <c r="Q7"/>
  <c r="Q8"/>
  <c r="Q9"/>
  <c r="Q10"/>
  <c r="Q11"/>
  <c r="Q12"/>
  <c r="Q13"/>
  <c r="Q14"/>
  <c r="Q15"/>
  <c r="Q4"/>
  <c r="T5"/>
  <c r="T6"/>
  <c r="T7"/>
  <c r="T8"/>
  <c r="T9"/>
  <c r="T10"/>
  <c r="T11"/>
  <c r="T12"/>
  <c r="T13"/>
  <c r="T14"/>
  <c r="T15"/>
  <c r="T4"/>
  <c r="I5"/>
  <c r="I6"/>
  <c r="I7"/>
  <c r="I8"/>
  <c r="I9"/>
  <c r="I10"/>
  <c r="I11"/>
  <c r="I12"/>
  <c r="I13"/>
  <c r="I14"/>
  <c r="I15"/>
  <c r="I4"/>
  <c r="H5"/>
  <c r="H6"/>
  <c r="H7"/>
  <c r="H8"/>
  <c r="H9"/>
  <c r="H10"/>
  <c r="H11"/>
  <c r="H12"/>
  <c r="H13"/>
  <c r="H14"/>
  <c r="H15"/>
  <c r="H4"/>
  <c r="V5"/>
  <c r="V6"/>
  <c r="V7"/>
  <c r="V8"/>
  <c r="V9"/>
  <c r="V10"/>
  <c r="V11"/>
  <c r="V12"/>
  <c r="V13"/>
  <c r="V14"/>
  <c r="V15"/>
  <c r="V4"/>
  <c r="U5"/>
  <c r="U6"/>
  <c r="U7"/>
  <c r="U8"/>
  <c r="U9"/>
  <c r="U10"/>
  <c r="U11"/>
  <c r="U12"/>
  <c r="U13"/>
  <c r="U14"/>
  <c r="U15"/>
  <c r="U4"/>
  <c r="F4"/>
  <c r="R6" i="2"/>
  <c r="R7"/>
  <c r="R8"/>
  <c r="R9"/>
  <c r="R10"/>
  <c r="R11"/>
  <c r="R12"/>
  <c r="R13"/>
  <c r="R14"/>
  <c r="R5"/>
  <c r="Q14"/>
  <c r="Q6"/>
  <c r="Q7"/>
  <c r="Q8"/>
  <c r="Q9"/>
  <c r="Q10"/>
  <c r="Q11"/>
  <c r="Q12"/>
  <c r="Q13"/>
  <c r="Q5"/>
  <c r="P6"/>
  <c r="P7"/>
  <c r="P8"/>
  <c r="P9"/>
  <c r="P10"/>
  <c r="P11"/>
  <c r="P12"/>
  <c r="P13"/>
  <c r="P14"/>
  <c r="P5"/>
  <c r="O6"/>
  <c r="O8"/>
  <c r="O10"/>
  <c r="O12"/>
  <c r="O14"/>
  <c r="F5"/>
  <c r="O5" s="1"/>
  <c r="N6"/>
  <c r="N7"/>
  <c r="N8"/>
  <c r="N9"/>
  <c r="N10"/>
  <c r="N11"/>
  <c r="N12"/>
  <c r="N13"/>
  <c r="N14"/>
  <c r="N5"/>
  <c r="M6"/>
  <c r="M7"/>
  <c r="M8"/>
  <c r="M9"/>
  <c r="M10"/>
  <c r="M11"/>
  <c r="M12"/>
  <c r="M13"/>
  <c r="M14"/>
  <c r="M5"/>
  <c r="L6"/>
  <c r="L7"/>
  <c r="L8"/>
  <c r="L9"/>
  <c r="L10"/>
  <c r="L11"/>
  <c r="L12"/>
  <c r="L13"/>
  <c r="L14"/>
  <c r="L5"/>
  <c r="K6"/>
  <c r="K7"/>
  <c r="K8"/>
  <c r="K9"/>
  <c r="K10"/>
  <c r="K11"/>
  <c r="K12"/>
  <c r="K13"/>
  <c r="K14"/>
  <c r="K5"/>
  <c r="J6"/>
  <c r="J7"/>
  <c r="J8"/>
  <c r="J9"/>
  <c r="J10"/>
  <c r="J11"/>
  <c r="J12"/>
  <c r="J13"/>
  <c r="J14"/>
  <c r="J5"/>
  <c r="I6"/>
  <c r="I7"/>
  <c r="I8"/>
  <c r="I9"/>
  <c r="I10"/>
  <c r="I11"/>
  <c r="I12"/>
  <c r="I13"/>
  <c r="I14"/>
  <c r="I5"/>
  <c r="L4" i="1"/>
  <c r="S5"/>
  <c r="S6"/>
  <c r="S7"/>
  <c r="S8"/>
  <c r="S9"/>
  <c r="S10"/>
  <c r="S11"/>
  <c r="S12"/>
  <c r="S13"/>
  <c r="S14"/>
  <c r="S15"/>
  <c r="S4"/>
  <c r="R5"/>
  <c r="R6"/>
  <c r="R7"/>
  <c r="R8"/>
  <c r="R9"/>
  <c r="R10"/>
  <c r="R11"/>
  <c r="R12"/>
  <c r="R13"/>
  <c r="R14"/>
  <c r="R15"/>
  <c r="R4"/>
  <c r="E4"/>
  <c r="K4"/>
  <c r="J4"/>
  <c r="G4"/>
  <c r="K5"/>
  <c r="K6"/>
  <c r="K7"/>
  <c r="K8"/>
  <c r="K9"/>
  <c r="K10"/>
  <c r="K11"/>
  <c r="K12"/>
  <c r="K13"/>
  <c r="K14"/>
  <c r="K15"/>
  <c r="P5"/>
  <c r="P6"/>
  <c r="P7"/>
  <c r="P8"/>
  <c r="P9"/>
  <c r="P10"/>
  <c r="P11"/>
  <c r="P12"/>
  <c r="P13"/>
  <c r="P14"/>
  <c r="P15"/>
  <c r="P4"/>
  <c r="O5"/>
  <c r="O6"/>
  <c r="O7"/>
  <c r="O8"/>
  <c r="O9"/>
  <c r="O10"/>
  <c r="O11"/>
  <c r="O12"/>
  <c r="O13"/>
  <c r="O14"/>
  <c r="O15"/>
  <c r="O4"/>
  <c r="N13"/>
  <c r="N4"/>
  <c r="N5"/>
  <c r="N6"/>
  <c r="N7"/>
  <c r="N8"/>
  <c r="N9"/>
  <c r="N10"/>
  <c r="N11"/>
  <c r="N12"/>
  <c r="N14"/>
  <c r="N15"/>
  <c r="F6" i="2"/>
  <c r="F7"/>
  <c r="O7" s="1"/>
  <c r="F8"/>
  <c r="F9"/>
  <c r="O9" s="1"/>
  <c r="F10"/>
  <c r="F11"/>
  <c r="O11" s="1"/>
  <c r="F12"/>
  <c r="F13"/>
  <c r="O13" s="1"/>
  <c r="F14"/>
  <c r="E5" i="1"/>
  <c r="G5"/>
  <c r="E6"/>
  <c r="F6"/>
  <c r="E7"/>
  <c r="G7"/>
  <c r="E8"/>
  <c r="F8"/>
  <c r="E9"/>
  <c r="G9"/>
  <c r="E10"/>
  <c r="F10"/>
  <c r="E11"/>
  <c r="G11"/>
  <c r="E12"/>
  <c r="F12"/>
  <c r="E13"/>
  <c r="G13"/>
  <c r="E14"/>
  <c r="F14"/>
  <c r="E15"/>
  <c r="G15"/>
  <c r="L15"/>
  <c r="L13"/>
  <c r="L11"/>
  <c r="L9"/>
  <c r="L7"/>
  <c r="L5"/>
  <c r="M4"/>
  <c r="L14"/>
  <c r="L12"/>
  <c r="L10"/>
  <c r="L8"/>
  <c r="L6"/>
  <c r="G14"/>
  <c r="J14"/>
  <c r="G12"/>
  <c r="J12"/>
  <c r="G10"/>
  <c r="J10"/>
  <c r="G8"/>
  <c r="J8"/>
  <c r="G6"/>
  <c r="J6"/>
  <c r="F15"/>
  <c r="M15"/>
  <c r="F13"/>
  <c r="M13"/>
  <c r="F11"/>
  <c r="M11"/>
  <c r="F9"/>
  <c r="M9"/>
  <c r="F7"/>
  <c r="M7"/>
  <c r="F5"/>
  <c r="M5"/>
  <c r="J5"/>
  <c r="J9"/>
  <c r="J13"/>
  <c r="M10"/>
  <c r="M8"/>
  <c r="J7"/>
  <c r="J11"/>
  <c r="J15"/>
  <c r="M6"/>
  <c r="M14"/>
  <c r="M12"/>
</calcChain>
</file>

<file path=xl/sharedStrings.xml><?xml version="1.0" encoding="utf-8"?>
<sst xmlns="http://schemas.openxmlformats.org/spreadsheetml/2006/main" count="105" uniqueCount="91">
  <si>
    <t>C O N D I C I O N A L E S   E X C E L   X P</t>
  </si>
  <si>
    <t>Articulos</t>
  </si>
  <si>
    <t>Cantidad</t>
  </si>
  <si>
    <t>V/Unitario</t>
  </si>
  <si>
    <t>Costo</t>
  </si>
  <si>
    <t>NETO</t>
  </si>
  <si>
    <t>Condicion1</t>
  </si>
  <si>
    <t>Condicion2</t>
  </si>
  <si>
    <t>Condicion3</t>
  </si>
  <si>
    <t>Condicion4</t>
  </si>
  <si>
    <t>Condicion5</t>
  </si>
  <si>
    <t>Condicion6</t>
  </si>
  <si>
    <t>Condicion7</t>
  </si>
  <si>
    <t>Condicion8</t>
  </si>
  <si>
    <t>Condicion9</t>
  </si>
  <si>
    <t>Condicion10</t>
  </si>
  <si>
    <t>Condición 11</t>
  </si>
  <si>
    <t>Condición 12</t>
  </si>
  <si>
    <t>Pasta</t>
  </si>
  <si>
    <t>Papa</t>
  </si>
  <si>
    <t>Arroz</t>
  </si>
  <si>
    <t>Aceite</t>
  </si>
  <si>
    <t>Panela</t>
  </si>
  <si>
    <t>Sal</t>
  </si>
  <si>
    <t>Chocolate</t>
  </si>
  <si>
    <t>Frijol</t>
  </si>
  <si>
    <t>Ejercicio de practica sobre analisis y construccion de condicionales =SI(CONDICION ; VERDAD ; FALSO), tenga en cuenta que, aunque en la contruccion del condicional pide en su orden CONDICION  - VERDAD - FALSO,  en los enunciados que se dan, estos tres elementos pueden estar en desorden.</t>
  </si>
  <si>
    <r>
      <t>Condicion 6</t>
    </r>
    <r>
      <rPr>
        <sz val="10"/>
        <rFont val="Arial"/>
      </rPr>
      <t>: Hallar el 2,5% del Vlr unitario, si la cantidad es mayor o igual a 8.</t>
    </r>
  </si>
  <si>
    <r>
      <t>Condicion 8</t>
    </r>
    <r>
      <rPr>
        <sz val="10"/>
        <rFont val="Arial"/>
      </rPr>
      <t>: Hallar el 3,5% del vlr unitario si la suma de los Ivas y Retenciones es diferente de 6000.</t>
    </r>
  </si>
  <si>
    <r>
      <t>Condicion 9</t>
    </r>
    <r>
      <rPr>
        <sz val="10"/>
        <rFont val="Arial"/>
      </rPr>
      <t>: Si la suma del Iva y la retencion es menor de 2.500, escriba BAJO IMPUESTO, sino escriba SOBRECOSTO</t>
    </r>
  </si>
  <si>
    <r>
      <t>Condicion10</t>
    </r>
    <r>
      <rPr>
        <sz val="10"/>
        <rFont val="Arial"/>
      </rPr>
      <t>: Si el promedio de los costos menos el maximo de los netos es igual de 50.000; hallar la raiz cuadrada del valor unitario, sino escriba QUE CHICHARRON</t>
    </r>
  </si>
  <si>
    <r>
      <t>Condicion11</t>
    </r>
    <r>
      <rPr>
        <sz val="10"/>
        <rFont val="Arial"/>
      </rPr>
      <t xml:space="preserve">:Si el Costo es menor a 60,000 dar un Iva del 12% sino del 16% </t>
    </r>
  </si>
  <si>
    <t>si el costo es mayor de 2000, sume costo y precio, de lo contrario, reste costo y precio</t>
  </si>
  <si>
    <t>si la cantidad es diferente de 1, escriba HAY EXISTENCIAS AUN, sino escriba COMPRAR ARTICULO</t>
  </si>
  <si>
    <t>si el total es mayor de 3,000,000 hallar el 3% del total, sino escriba SON VENTAS MENORES</t>
  </si>
  <si>
    <t>Si  la sesion es Scanners escriba DISPOSITIVOS DE SALIDA, sino escriba COMUNICACIÓN  EN LA RED</t>
  </si>
  <si>
    <t>Si la suma del precio y la cantidad son menores de 10,000, hallar la raiz cubica al total, sino escriba VALEN MUCHO</t>
  </si>
  <si>
    <t>Si el modelo es C100 GLS, escriba ES ULTRA, de lo contrario escriba ES SENCILLO</t>
  </si>
  <si>
    <t>Si el promedio de los PRECIOS es  mayor de 15.000 escriba HAY QUE REBAJARLOS, sino escriba SON COMPETITIVOS LOS PRECIOS</t>
  </si>
  <si>
    <t>Si el nombre del producto es copiadora personal, hallar la raiz cuadrada del precio, sino hallar la raiz cubica del precio</t>
  </si>
  <si>
    <t>Calcule el 20% de descuento al total, si el costo es superior a 10,000</t>
  </si>
  <si>
    <t>indique cual seria el total menos el 5%, si el precio es mayor de 11,000, sino escriba SIN DESCUENTO</t>
  </si>
  <si>
    <t>Sección</t>
  </si>
  <si>
    <t>Modelo</t>
  </si>
  <si>
    <t>Nombre del producto</t>
  </si>
  <si>
    <t>Precio</t>
  </si>
  <si>
    <t>Total</t>
  </si>
  <si>
    <t>Condicion 1</t>
  </si>
  <si>
    <t>Condicion 2</t>
  </si>
  <si>
    <t>Condicion 3</t>
  </si>
  <si>
    <t>Condicion 4</t>
  </si>
  <si>
    <t>Condicion 5</t>
  </si>
  <si>
    <t>Condicion 6</t>
  </si>
  <si>
    <t>Condicion 7</t>
  </si>
  <si>
    <t>Condicion 8</t>
  </si>
  <si>
    <t>Condicion 9</t>
  </si>
  <si>
    <t>Condicion 10</t>
  </si>
  <si>
    <t>Scanners</t>
  </si>
  <si>
    <t>C300 GLS</t>
  </si>
  <si>
    <t>Scanners para Negocios</t>
  </si>
  <si>
    <t>C310 GLS</t>
  </si>
  <si>
    <t>C320 GLS</t>
  </si>
  <si>
    <t>Scannerspara Negocios</t>
  </si>
  <si>
    <t>C100 GLS</t>
  </si>
  <si>
    <t>ScannersPersonal ULTRA</t>
  </si>
  <si>
    <t>C110 GLS</t>
  </si>
  <si>
    <t>ScannersPersonal</t>
  </si>
  <si>
    <t>C120 GLS</t>
  </si>
  <si>
    <t>C510 GLS</t>
  </si>
  <si>
    <t>ScannersProfesional Plus</t>
  </si>
  <si>
    <t>C520 GLS</t>
  </si>
  <si>
    <t>Conmutador</t>
  </si>
  <si>
    <t>F300 G</t>
  </si>
  <si>
    <t>Conmutadorpara Negocios</t>
  </si>
  <si>
    <t>F350 G</t>
  </si>
  <si>
    <t>Azúcar</t>
  </si>
  <si>
    <t>Garbanzos</t>
  </si>
  <si>
    <t>Chocolisto</t>
  </si>
  <si>
    <t>Avena</t>
  </si>
  <si>
    <t>Iva 16%</t>
  </si>
  <si>
    <t>Retencion 3%</t>
  </si>
  <si>
    <r>
      <t>Condiciòn 1</t>
    </r>
    <r>
      <rPr>
        <sz val="10"/>
        <rFont val="Arial"/>
      </rPr>
      <t>: Si el vlr unitario es mayor de 9,000, escriba COSTOSO, sino escriba BARATO.</t>
    </r>
  </si>
  <si>
    <r>
      <t>Condicion 2</t>
    </r>
    <r>
      <rPr>
        <sz val="10"/>
        <rFont val="Arial"/>
      </rPr>
      <t>: Si el costo es diferente de 4900, sumar cantidad y vlr unitario, sino sacar la raiz cuadrada al vlr unitario.</t>
    </r>
  </si>
  <si>
    <r>
      <t>Condicion 3</t>
    </r>
    <r>
      <rPr>
        <sz val="10"/>
        <rFont val="Arial"/>
      </rPr>
      <t>: Si la suma del Iva y la Retenciòn son menores de 8500, divida Iva y Retencion, sino multiplique Iva y Retencion.</t>
    </r>
  </si>
  <si>
    <r>
      <t>Condicion 4</t>
    </r>
    <r>
      <rPr>
        <sz val="10"/>
        <rFont val="Arial"/>
      </rPr>
      <t>: Dar el 5% de descuento al vlr unitario si el neto es mayor de 38000.</t>
    </r>
  </si>
  <si>
    <r>
      <t>Condicion 5</t>
    </r>
    <r>
      <rPr>
        <sz val="10"/>
        <rFont val="Arial"/>
      </rPr>
      <t>: Sumar 2000 al costo si el Iva es diferente de 4.060, sino escriba NO CUMPLE.</t>
    </r>
  </si>
  <si>
    <r>
      <t>Condicion 7</t>
    </r>
    <r>
      <rPr>
        <sz val="10"/>
        <rFont val="Arial"/>
      </rPr>
      <t>: Sacar la raìz cùbica a los costos menores de 5900.</t>
    </r>
  </si>
  <si>
    <r>
      <t>Condicion12</t>
    </r>
    <r>
      <rPr>
        <sz val="10"/>
        <rFont val="Arial"/>
      </rPr>
      <t>:Si el Costo es menor o igual a 10,000a 50,000 sacr una retencion del 2,5 sino del 3%</t>
    </r>
  </si>
  <si>
    <t>Promedio Precio</t>
  </si>
  <si>
    <t>Promedio costo</t>
  </si>
  <si>
    <t>MAX neto</t>
  </si>
</sst>
</file>

<file path=xl/styles.xml><?xml version="1.0" encoding="utf-8"?>
<styleSheet xmlns="http://schemas.openxmlformats.org/spreadsheetml/2006/main">
  <numFmts count="7">
    <numFmt numFmtId="174" formatCode="_ &quot;$&quot;\ * #,##0.00_ ;_ &quot;$&quot;\ * \-#,##0.00_ ;_ &quot;$&quot;\ * &quot;-&quot;??_ ;_ @_ "/>
    <numFmt numFmtId="175" formatCode="_ * #,##0.00_ ;_ * \-#,##0.00_ ;_ * &quot;-&quot;??_ ;_ @_ "/>
    <numFmt numFmtId="176" formatCode="_ &quot;$&quot;\ * #,##0_ ;_ &quot;$&quot;\ * \-#,##0_ ;_ &quot;$&quot;\ * &quot;-&quot;??_ ;_ @_ "/>
    <numFmt numFmtId="177" formatCode="_ * #,##0_ ;_ * \-#,##0_ ;_ * &quot;-&quot;??_ ;_ @_ "/>
    <numFmt numFmtId="178" formatCode="_ &quot;$&quot;\ * #,##0.0_ ;_ &quot;$&quot;\ * \-#,##0.0_ ;_ &quot;$&quot;\ * &quot;-&quot;??_ ;_ @_ "/>
    <numFmt numFmtId="182" formatCode="_ * #,##0.000_ ;_ * \-#,##0.000_ ;_ * &quot;-&quot;??_ ;_ @_ "/>
    <numFmt numFmtId="188" formatCode="_-* #,##0.0\ _€_-;\-* #,##0.0\ _€_-;_-* &quot;-&quot;?\ _€_-;_-@_-"/>
  </numFmts>
  <fonts count="13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24"/>
      <color indexed="9"/>
      <name val="Arial"/>
      <family val="2"/>
    </font>
    <font>
      <b/>
      <sz val="8"/>
      <name val="Arial"/>
      <family val="2"/>
    </font>
    <font>
      <sz val="10"/>
      <color indexed="9"/>
      <name val="Arial"/>
    </font>
    <font>
      <sz val="8"/>
      <name val="Arial"/>
      <family val="2"/>
    </font>
    <font>
      <sz val="10"/>
      <name val="Arial"/>
      <family val="2"/>
    </font>
    <font>
      <b/>
      <sz val="8.5"/>
      <color indexed="18"/>
      <name val="MS Sans Serif"/>
      <family val="2"/>
    </font>
    <font>
      <sz val="14"/>
      <name val="Monotype Corsiva"/>
      <family val="4"/>
    </font>
    <font>
      <b/>
      <sz val="8.5"/>
      <color theme="1" tint="0.249977111117893"/>
      <name val="MS Sans Serif"/>
      <family val="2"/>
    </font>
    <font>
      <sz val="8"/>
      <color theme="1"/>
      <name val="Arial"/>
      <family val="2"/>
    </font>
    <font>
      <sz val="7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medium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17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/>
    <xf numFmtId="0" fontId="1" fillId="0" borderId="0" xfId="3"/>
    <xf numFmtId="0" fontId="2" fillId="0" borderId="0" xfId="3" applyFont="1"/>
    <xf numFmtId="0" fontId="1" fillId="0" borderId="1" xfId="3" applyFont="1" applyFill="1" applyBorder="1"/>
    <xf numFmtId="0" fontId="2" fillId="2" borderId="2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1" fillId="0" borderId="0" xfId="3" applyFill="1"/>
    <xf numFmtId="0" fontId="6" fillId="0" borderId="0" xfId="3" applyFont="1" applyFill="1" applyBorder="1" applyAlignment="1">
      <alignment horizontal="left" wrapText="1"/>
    </xf>
    <xf numFmtId="0" fontId="1" fillId="0" borderId="0" xfId="3" applyNumberFormat="1"/>
    <xf numFmtId="0" fontId="4" fillId="2" borderId="3" xfId="3" applyFont="1" applyFill="1" applyBorder="1" applyAlignment="1">
      <alignment horizontal="center"/>
    </xf>
    <xf numFmtId="0" fontId="7" fillId="3" borderId="8" xfId="3" applyFont="1" applyFill="1" applyBorder="1"/>
    <xf numFmtId="0" fontId="1" fillId="0" borderId="0" xfId="4"/>
    <xf numFmtId="0" fontId="10" fillId="4" borderId="4" xfId="4" applyFont="1" applyFill="1" applyBorder="1" applyAlignment="1">
      <alignment horizontal="left"/>
    </xf>
    <xf numFmtId="0" fontId="10" fillId="4" borderId="5" xfId="4" applyFont="1" applyFill="1" applyBorder="1" applyAlignment="1">
      <alignment horizontal="left"/>
    </xf>
    <xf numFmtId="0" fontId="10" fillId="4" borderId="5" xfId="4" applyFont="1" applyFill="1" applyBorder="1" applyAlignment="1">
      <alignment horizontal="center"/>
    </xf>
    <xf numFmtId="0" fontId="8" fillId="5" borderId="5" xfId="4" applyFont="1" applyFill="1" applyBorder="1" applyAlignment="1">
      <alignment horizontal="center"/>
    </xf>
    <xf numFmtId="0" fontId="9" fillId="6" borderId="5" xfId="4" applyFont="1" applyFill="1" applyBorder="1" applyAlignment="1"/>
    <xf numFmtId="0" fontId="9" fillId="6" borderId="6" xfId="4" applyFont="1" applyFill="1" applyBorder="1" applyAlignment="1"/>
    <xf numFmtId="176" fontId="9" fillId="6" borderId="6" xfId="2" applyNumberFormat="1" applyFont="1" applyFill="1" applyBorder="1" applyAlignment="1"/>
    <xf numFmtId="178" fontId="9" fillId="6" borderId="6" xfId="2" applyNumberFormat="1" applyFont="1" applyFill="1" applyBorder="1"/>
    <xf numFmtId="176" fontId="9" fillId="6" borderId="5" xfId="2" applyNumberFormat="1" applyFont="1" applyFill="1" applyBorder="1" applyAlignment="1"/>
    <xf numFmtId="178" fontId="9" fillId="6" borderId="5" xfId="2" applyNumberFormat="1" applyFont="1" applyFill="1" applyBorder="1"/>
    <xf numFmtId="176" fontId="9" fillId="6" borderId="5" xfId="2" applyNumberFormat="1" applyFont="1" applyFill="1" applyBorder="1"/>
    <xf numFmtId="0" fontId="11" fillId="7" borderId="5" xfId="4" applyFont="1" applyFill="1" applyBorder="1" applyAlignment="1">
      <alignment horizontal="center" wrapText="1"/>
    </xf>
    <xf numFmtId="0" fontId="6" fillId="7" borderId="5" xfId="4" applyFont="1" applyFill="1" applyBorder="1" applyAlignment="1">
      <alignment wrapText="1"/>
    </xf>
    <xf numFmtId="0" fontId="11" fillId="7" borderId="5" xfId="4" applyFont="1" applyFill="1" applyBorder="1" applyAlignment="1">
      <alignment wrapText="1"/>
    </xf>
    <xf numFmtId="0" fontId="12" fillId="7" borderId="5" xfId="4" applyFont="1" applyFill="1" applyBorder="1" applyAlignment="1">
      <alignment wrapText="1"/>
    </xf>
    <xf numFmtId="0" fontId="5" fillId="8" borderId="2" xfId="3" applyFont="1" applyFill="1" applyBorder="1" applyAlignment="1">
      <alignment horizontal="center"/>
    </xf>
    <xf numFmtId="0" fontId="1" fillId="9" borderId="2" xfId="3" applyFill="1" applyBorder="1"/>
    <xf numFmtId="0" fontId="1" fillId="9" borderId="2" xfId="3" applyFill="1" applyBorder="1" applyAlignment="1">
      <alignment horizontal="center"/>
    </xf>
    <xf numFmtId="177" fontId="1" fillId="9" borderId="2" xfId="1" applyNumberFormat="1" applyFont="1" applyFill="1" applyBorder="1" applyAlignment="1">
      <alignment horizontal="right"/>
    </xf>
    <xf numFmtId="177" fontId="1" fillId="9" borderId="2" xfId="1" applyNumberFormat="1" applyFont="1" applyFill="1" applyBorder="1"/>
    <xf numFmtId="0" fontId="1" fillId="9" borderId="3" xfId="3" applyFill="1" applyBorder="1"/>
    <xf numFmtId="0" fontId="1" fillId="9" borderId="8" xfId="3" applyFill="1" applyBorder="1"/>
    <xf numFmtId="0" fontId="7" fillId="9" borderId="2" xfId="3" applyFont="1" applyFill="1" applyBorder="1"/>
    <xf numFmtId="182" fontId="1" fillId="9" borderId="2" xfId="1" applyNumberFormat="1" applyFont="1" applyFill="1" applyBorder="1" applyAlignment="1">
      <alignment horizontal="right"/>
    </xf>
    <xf numFmtId="176" fontId="1" fillId="0" borderId="0" xfId="4" applyNumberFormat="1"/>
    <xf numFmtId="3" fontId="1" fillId="0" borderId="0" xfId="4" applyNumberFormat="1"/>
    <xf numFmtId="174" fontId="1" fillId="0" borderId="0" xfId="4" applyNumberFormat="1"/>
    <xf numFmtId="2" fontId="1" fillId="0" borderId="0" xfId="4" applyNumberFormat="1"/>
    <xf numFmtId="188" fontId="1" fillId="0" borderId="0" xfId="4" applyNumberFormat="1"/>
    <xf numFmtId="2" fontId="1" fillId="9" borderId="2" xfId="3" applyNumberFormat="1" applyFill="1" applyBorder="1"/>
    <xf numFmtId="1" fontId="1" fillId="9" borderId="2" xfId="3" applyNumberFormat="1" applyFill="1" applyBorder="1"/>
    <xf numFmtId="177" fontId="1" fillId="9" borderId="2" xfId="3" applyNumberFormat="1" applyFill="1" applyBorder="1"/>
    <xf numFmtId="0" fontId="3" fillId="8" borderId="0" xfId="3" applyFont="1" applyFill="1" applyAlignment="1">
      <alignment horizontal="center" vertical="center"/>
    </xf>
    <xf numFmtId="0" fontId="3" fillId="8" borderId="7" xfId="3" applyFont="1" applyFill="1" applyBorder="1" applyAlignment="1">
      <alignment horizontal="center" vertical="center"/>
    </xf>
    <xf numFmtId="0" fontId="7" fillId="8" borderId="0" xfId="3" applyFont="1" applyFill="1" applyBorder="1" applyAlignment="1">
      <alignment horizontal="center" wrapText="1"/>
    </xf>
    <xf numFmtId="0" fontId="7" fillId="8" borderId="7" xfId="3" applyFont="1" applyFill="1" applyBorder="1" applyAlignment="1">
      <alignment horizontal="center" wrapText="1"/>
    </xf>
  </cellXfs>
  <cellStyles count="5">
    <cellStyle name="Millares 2" xfId="1"/>
    <cellStyle name="Moneda 4" xfId="2"/>
    <cellStyle name="Normal" xfId="0" builtinId="0"/>
    <cellStyle name="Normal 2" xfId="3"/>
    <cellStyle name="Normal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"/>
  <sheetViews>
    <sheetView topLeftCell="L4" zoomScale="90" zoomScaleNormal="90" workbookViewId="0">
      <selection activeCell="M19" sqref="M19"/>
    </sheetView>
  </sheetViews>
  <sheetFormatPr baseColWidth="10" defaultRowHeight="15"/>
  <cols>
    <col min="3" max="3" width="30.5703125" customWidth="1"/>
    <col min="6" max="6" width="16.140625" customWidth="1"/>
    <col min="8" max="8" width="19.140625" bestFit="1" customWidth="1"/>
    <col min="10" max="10" width="20.7109375" customWidth="1"/>
    <col min="11" max="11" width="24.42578125" customWidth="1"/>
    <col min="12" max="12" width="25.5703125" customWidth="1"/>
    <col min="13" max="13" width="18.5703125" customWidth="1"/>
    <col min="14" max="14" width="13.85546875" customWidth="1"/>
    <col min="15" max="15" width="33.85546875" customWidth="1"/>
    <col min="16" max="16" width="18.42578125" customWidth="1"/>
    <col min="17" max="17" width="18.28515625" customWidth="1"/>
    <col min="18" max="18" width="16.140625" customWidth="1"/>
  </cols>
  <sheetData>
    <row r="1" spans="1:18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91.5" thickBot="1">
      <c r="A3" s="11"/>
      <c r="B3" s="11"/>
      <c r="C3" s="11"/>
      <c r="D3" s="11"/>
      <c r="E3" s="11"/>
      <c r="F3" s="11"/>
      <c r="G3" s="11"/>
      <c r="H3" s="11"/>
      <c r="I3" s="23" t="s">
        <v>32</v>
      </c>
      <c r="J3" s="24" t="s">
        <v>33</v>
      </c>
      <c r="K3" s="25" t="s">
        <v>34</v>
      </c>
      <c r="L3" s="26" t="s">
        <v>35</v>
      </c>
      <c r="M3" s="25" t="s">
        <v>36</v>
      </c>
      <c r="N3" s="25" t="s">
        <v>37</v>
      </c>
      <c r="O3" s="24" t="s">
        <v>38</v>
      </c>
      <c r="P3" s="25" t="s">
        <v>39</v>
      </c>
      <c r="Q3" s="24" t="s">
        <v>40</v>
      </c>
      <c r="R3" s="25" t="s">
        <v>41</v>
      </c>
    </row>
    <row r="4" spans="1:18">
      <c r="A4" s="12" t="s">
        <v>42</v>
      </c>
      <c r="B4" s="12" t="s">
        <v>43</v>
      </c>
      <c r="C4" s="13" t="s">
        <v>44</v>
      </c>
      <c r="D4" s="14" t="s">
        <v>4</v>
      </c>
      <c r="E4" s="14" t="s">
        <v>45</v>
      </c>
      <c r="F4" s="14" t="s">
        <v>88</v>
      </c>
      <c r="G4" s="14" t="s">
        <v>2</v>
      </c>
      <c r="H4" s="14" t="s">
        <v>46</v>
      </c>
      <c r="I4" s="15" t="s">
        <v>47</v>
      </c>
      <c r="J4" s="15" t="s">
        <v>48</v>
      </c>
      <c r="K4" s="15" t="s">
        <v>49</v>
      </c>
      <c r="L4" s="15" t="s">
        <v>50</v>
      </c>
      <c r="M4" s="15" t="s">
        <v>51</v>
      </c>
      <c r="N4" s="15" t="s">
        <v>52</v>
      </c>
      <c r="O4" s="15" t="s">
        <v>53</v>
      </c>
      <c r="P4" s="15" t="s">
        <v>54</v>
      </c>
      <c r="Q4" s="15" t="s">
        <v>55</v>
      </c>
      <c r="R4" s="15" t="s">
        <v>56</v>
      </c>
    </row>
    <row r="5" spans="1:18" ht="18.75">
      <c r="A5" s="16" t="s">
        <v>57</v>
      </c>
      <c r="B5" s="16" t="s">
        <v>58</v>
      </c>
      <c r="C5" s="17" t="s">
        <v>59</v>
      </c>
      <c r="D5" s="18">
        <v>3570.8453</v>
      </c>
      <c r="E5" s="18">
        <v>4642.0988900000002</v>
      </c>
      <c r="F5" s="18">
        <f>AVERAGE(E5)</f>
        <v>4642.0988900000002</v>
      </c>
      <c r="G5" s="18">
        <v>590</v>
      </c>
      <c r="H5" s="19">
        <v>2738838.3451</v>
      </c>
      <c r="I5" s="36">
        <f>IF(D5&gt;2000,D5+E5,D5-E5)</f>
        <v>8212.9441900000002</v>
      </c>
      <c r="J5" s="11" t="str">
        <f>IF(G5&lt;&gt;1,"HAY EXISTENCIAS AÙN","COMPRAR ARTICULO")</f>
        <v>HAY EXISTENCIAS AÙN</v>
      </c>
      <c r="K5" s="40" t="str">
        <f>IF(H5&gt;3000000,(H5/3)/100,"SON VENTAS MENORES")</f>
        <v>SON VENTAS MENORES</v>
      </c>
      <c r="L5" s="11" t="str">
        <f>IF(A5&lt;&gt;A13,"DISPOSITIVOS DE SALIDA","COMUNICACIÒN EN LA RED")</f>
        <v>DISPOSITIVOS DE SALIDA</v>
      </c>
      <c r="M5" s="38">
        <f>IF(E5+G5&lt;10000,H5*1/3,"VALE MUCHO")</f>
        <v>912946.11503333331</v>
      </c>
      <c r="N5" s="37" t="str">
        <f>IF(B8=B8,"ES ULTRA","ES SENCILLO")</f>
        <v>ES ULTRA</v>
      </c>
      <c r="O5" s="11" t="str">
        <f>IF(F5&gt;15000,"HAY QUE REBAJARLOS","SON COMPETITIVOS")</f>
        <v>SON COMPETITIVOS</v>
      </c>
      <c r="P5" s="39">
        <f>IF(C8=C8,E5*1/2,E5*1/3)</f>
        <v>2321.0494450000001</v>
      </c>
      <c r="Q5" s="36">
        <f>IF(H5&gt;10000,H5*5%,0)</f>
        <v>136941.91725500001</v>
      </c>
      <c r="R5" s="11" t="str">
        <f>IF(E5&gt;11000,H5-5%,"SIN DESCUENTO")</f>
        <v>SIN DESCUENTO</v>
      </c>
    </row>
    <row r="6" spans="1:18" ht="18.75">
      <c r="A6" s="16" t="s">
        <v>57</v>
      </c>
      <c r="B6" s="16" t="s">
        <v>60</v>
      </c>
      <c r="C6" s="16" t="s">
        <v>59</v>
      </c>
      <c r="D6" s="20">
        <v>2855.0158999999999</v>
      </c>
      <c r="E6" s="20">
        <v>3711.5206699999999</v>
      </c>
      <c r="F6" s="18">
        <f t="shared" ref="F6:F14" si="0">AVERAGE(E6)</f>
        <v>3711.5206699999999</v>
      </c>
      <c r="G6" s="20">
        <v>340</v>
      </c>
      <c r="H6" s="21">
        <v>1261917.0278</v>
      </c>
      <c r="I6" s="36">
        <f t="shared" ref="I6:I14" si="1">IF(D6&gt;2000,D6+E6,D6-E6)</f>
        <v>6566.5365700000002</v>
      </c>
      <c r="J6" s="11" t="str">
        <f t="shared" ref="J6:J14" si="2">IF(G6&lt;&gt;1,"HAY EXISTENCIAS AÙN","COMPRAR ARTICULO")</f>
        <v>HAY EXISTENCIAS AÙN</v>
      </c>
      <c r="K6" s="40" t="str">
        <f t="shared" ref="K6:K14" si="3">IF(H6&gt;3000000,(H6/3)/100,"SON VENTAS MENORES")</f>
        <v>SON VENTAS MENORES</v>
      </c>
      <c r="L6" s="11" t="str">
        <f t="shared" ref="L6:L14" si="4">IF(A6&lt;&gt;A14,"DISPOSITIVOS DE SALIDA","COMUNICACIÒN EN LA RED")</f>
        <v>DISPOSITIVOS DE SALIDA</v>
      </c>
      <c r="M6" s="38">
        <f>IF(E6+G6&lt;10000,H6*1/3,"VALE MUCHO")</f>
        <v>420639.00926666666</v>
      </c>
      <c r="N6" s="37" t="str">
        <f t="shared" ref="N6:N14" si="5">IF(B9=B9,"ES ULTRA","ES SENCILLO")</f>
        <v>ES ULTRA</v>
      </c>
      <c r="O6" s="11" t="str">
        <f t="shared" ref="O6:O14" si="6">IF(F6&gt;15000,"HAY QUE REBAJARLOS","SON COMPETITIVOS")</f>
        <v>SON COMPETITIVOS</v>
      </c>
      <c r="P6" s="39">
        <f t="shared" ref="P6:P14" si="7">IF(C9=C9,E6*1/2,E6*1/3)</f>
        <v>1855.7603349999999</v>
      </c>
      <c r="Q6" s="36">
        <f t="shared" ref="Q6:Q13" si="8">IF(H6&gt;10000,H6*5%,0)</f>
        <v>63095.851390000003</v>
      </c>
      <c r="R6" s="11" t="str">
        <f t="shared" ref="R6:R14" si="9">IF(E6&gt;11000,H6-5%,"SIN DESCUENTO")</f>
        <v>SIN DESCUENTO</v>
      </c>
    </row>
    <row r="7" spans="1:18" ht="18.75">
      <c r="A7" s="16" t="s">
        <v>57</v>
      </c>
      <c r="B7" s="16" t="s">
        <v>61</v>
      </c>
      <c r="C7" s="16" t="s">
        <v>62</v>
      </c>
      <c r="D7" s="20">
        <v>4558.0159999999996</v>
      </c>
      <c r="E7" s="20">
        <v>5925.4207999999999</v>
      </c>
      <c r="F7" s="18">
        <f t="shared" si="0"/>
        <v>5925.4207999999999</v>
      </c>
      <c r="G7" s="20">
        <v>740</v>
      </c>
      <c r="H7" s="21">
        <v>4384811.392</v>
      </c>
      <c r="I7" s="36">
        <f t="shared" si="1"/>
        <v>10483.436799999999</v>
      </c>
      <c r="J7" s="11" t="str">
        <f t="shared" si="2"/>
        <v>HAY EXISTENCIAS AÙN</v>
      </c>
      <c r="K7" s="40">
        <f t="shared" si="3"/>
        <v>14616.037973333334</v>
      </c>
      <c r="L7" s="11" t="str">
        <f t="shared" si="4"/>
        <v>DISPOSITIVOS DE SALIDA</v>
      </c>
      <c r="M7" s="38">
        <f>IF(E7+G7&lt;10000,H7*1/3,"VALE MUCHO")</f>
        <v>1461603.7973333334</v>
      </c>
      <c r="N7" s="37" t="str">
        <f t="shared" si="5"/>
        <v>ES ULTRA</v>
      </c>
      <c r="O7" s="11" t="str">
        <f t="shared" si="6"/>
        <v>SON COMPETITIVOS</v>
      </c>
      <c r="P7" s="39">
        <f t="shared" si="7"/>
        <v>2962.7103999999999</v>
      </c>
      <c r="Q7" s="36">
        <f t="shared" si="8"/>
        <v>219240.56960000002</v>
      </c>
      <c r="R7" s="11" t="str">
        <f t="shared" si="9"/>
        <v>SIN DESCUENTO</v>
      </c>
    </row>
    <row r="8" spans="1:18" ht="18.75">
      <c r="A8" s="16" t="s">
        <v>57</v>
      </c>
      <c r="B8" s="16" t="s">
        <v>63</v>
      </c>
      <c r="C8" s="16" t="s">
        <v>64</v>
      </c>
      <c r="D8" s="20">
        <v>937.48050000000001</v>
      </c>
      <c r="E8" s="20">
        <v>1218.7246500000001</v>
      </c>
      <c r="F8" s="18">
        <f t="shared" si="0"/>
        <v>1218.7246500000001</v>
      </c>
      <c r="G8" s="20">
        <v>891</v>
      </c>
      <c r="H8" s="21">
        <v>1085883.6631500002</v>
      </c>
      <c r="I8" s="36">
        <f t="shared" si="1"/>
        <v>-281.2441500000001</v>
      </c>
      <c r="J8" s="11" t="str">
        <f t="shared" si="2"/>
        <v>HAY EXISTENCIAS AÙN</v>
      </c>
      <c r="K8" s="40" t="str">
        <f t="shared" si="3"/>
        <v>SON VENTAS MENORES</v>
      </c>
      <c r="L8" s="11" t="str">
        <f t="shared" si="4"/>
        <v>DISPOSITIVOS DE SALIDA</v>
      </c>
      <c r="M8" s="38">
        <f>IF(E8+G8&lt;10000,H8*1/3,"VALE MUCHO")</f>
        <v>361961.22105000005</v>
      </c>
      <c r="N8" s="37" t="str">
        <f t="shared" si="5"/>
        <v>ES ULTRA</v>
      </c>
      <c r="O8" s="11" t="str">
        <f t="shared" si="6"/>
        <v>SON COMPETITIVOS</v>
      </c>
      <c r="P8" s="39">
        <f t="shared" si="7"/>
        <v>609.36232500000006</v>
      </c>
      <c r="Q8" s="36">
        <f t="shared" si="8"/>
        <v>54294.183157500011</v>
      </c>
      <c r="R8" s="11" t="str">
        <f t="shared" si="9"/>
        <v>SIN DESCUENTO</v>
      </c>
    </row>
    <row r="9" spans="1:18" ht="18.75">
      <c r="A9" s="16" t="s">
        <v>57</v>
      </c>
      <c r="B9" s="16" t="s">
        <v>65</v>
      </c>
      <c r="C9" s="16" t="s">
        <v>66</v>
      </c>
      <c r="D9" s="20">
        <v>992.97659999999996</v>
      </c>
      <c r="E9" s="20">
        <v>1290.86958</v>
      </c>
      <c r="F9" s="18">
        <f t="shared" si="0"/>
        <v>1290.86958</v>
      </c>
      <c r="G9" s="20">
        <v>606</v>
      </c>
      <c r="H9" s="21">
        <v>782266.96548000001</v>
      </c>
      <c r="I9" s="36">
        <f t="shared" si="1"/>
        <v>-297.89298000000008</v>
      </c>
      <c r="J9" s="11" t="str">
        <f t="shared" si="2"/>
        <v>HAY EXISTENCIAS AÙN</v>
      </c>
      <c r="K9" s="40" t="str">
        <f t="shared" si="3"/>
        <v>SON VENTAS MENORES</v>
      </c>
      <c r="L9" s="11" t="str">
        <f t="shared" si="4"/>
        <v>DISPOSITIVOS DE SALIDA</v>
      </c>
      <c r="M9" s="38">
        <f>IF(E9+G9&lt;10000,H9*1/3,"VALE MUCHO")</f>
        <v>260755.65515999999</v>
      </c>
      <c r="N9" s="37" t="str">
        <f t="shared" si="5"/>
        <v>ES ULTRA</v>
      </c>
      <c r="O9" s="11" t="str">
        <f t="shared" si="6"/>
        <v>SON COMPETITIVOS</v>
      </c>
      <c r="P9" s="39">
        <f t="shared" si="7"/>
        <v>645.43479000000002</v>
      </c>
      <c r="Q9" s="36">
        <f t="shared" si="8"/>
        <v>39113.348274000004</v>
      </c>
      <c r="R9" s="11" t="str">
        <f t="shared" si="9"/>
        <v>SIN DESCUENTO</v>
      </c>
    </row>
    <row r="10" spans="1:18" ht="18.75">
      <c r="A10" s="16" t="s">
        <v>57</v>
      </c>
      <c r="B10" s="16" t="s">
        <v>67</v>
      </c>
      <c r="C10" s="16" t="s">
        <v>66</v>
      </c>
      <c r="D10" s="20">
        <v>2191.5749999999998</v>
      </c>
      <c r="E10" s="20">
        <v>2849.0474999999997</v>
      </c>
      <c r="F10" s="18">
        <f t="shared" si="0"/>
        <v>2849.0474999999997</v>
      </c>
      <c r="G10" s="20">
        <v>1</v>
      </c>
      <c r="H10" s="21">
        <v>2849.0474999999997</v>
      </c>
      <c r="I10" s="36">
        <f t="shared" si="1"/>
        <v>5040.6224999999995</v>
      </c>
      <c r="J10" s="11" t="str">
        <f t="shared" si="2"/>
        <v>COMPRAR ARTICULO</v>
      </c>
      <c r="K10" s="40" t="str">
        <f t="shared" si="3"/>
        <v>SON VENTAS MENORES</v>
      </c>
      <c r="L10" s="11" t="str">
        <f t="shared" si="4"/>
        <v>DISPOSITIVOS DE SALIDA</v>
      </c>
      <c r="M10" s="38">
        <f>IF(E10+G10&lt;10000,H10*1/3,"VALE MUCHO")</f>
        <v>949.68249999999989</v>
      </c>
      <c r="N10" s="37" t="str">
        <f t="shared" si="5"/>
        <v>ES ULTRA</v>
      </c>
      <c r="O10" s="11" t="str">
        <f t="shared" si="6"/>
        <v>SON COMPETITIVOS</v>
      </c>
      <c r="P10" s="39">
        <f t="shared" si="7"/>
        <v>1424.5237499999998</v>
      </c>
      <c r="Q10" s="36">
        <f t="shared" si="8"/>
        <v>0</v>
      </c>
      <c r="R10" s="11" t="str">
        <f t="shared" si="9"/>
        <v>SIN DESCUENTO</v>
      </c>
    </row>
    <row r="11" spans="1:18" ht="18.75">
      <c r="A11" s="16" t="s">
        <v>57</v>
      </c>
      <c r="B11" s="16" t="s">
        <v>68</v>
      </c>
      <c r="C11" s="16" t="s">
        <v>69</v>
      </c>
      <c r="D11" s="20">
        <v>7753.4754000000003</v>
      </c>
      <c r="E11" s="20">
        <v>10079.518020000001</v>
      </c>
      <c r="F11" s="18">
        <f t="shared" si="0"/>
        <v>10079.518020000001</v>
      </c>
      <c r="G11" s="20">
        <v>580</v>
      </c>
      <c r="H11" s="21">
        <v>5846120.4516000012</v>
      </c>
      <c r="I11" s="36">
        <f t="shared" si="1"/>
        <v>17832.993420000003</v>
      </c>
      <c r="J11" s="11" t="str">
        <f t="shared" si="2"/>
        <v>HAY EXISTENCIAS AÙN</v>
      </c>
      <c r="K11" s="40">
        <f t="shared" si="3"/>
        <v>19487.068172000003</v>
      </c>
      <c r="L11" s="11" t="str">
        <f t="shared" si="4"/>
        <v>DISPOSITIVOS DE SALIDA</v>
      </c>
      <c r="M11" s="38" t="str">
        <f>IF(E11+G11&lt;10000,H11*1/3,"VALE MUCHO")</f>
        <v>VALE MUCHO</v>
      </c>
      <c r="N11" s="37" t="str">
        <f t="shared" si="5"/>
        <v>ES ULTRA</v>
      </c>
      <c r="O11" s="11" t="str">
        <f t="shared" si="6"/>
        <v>SON COMPETITIVOS</v>
      </c>
      <c r="P11" s="39">
        <f t="shared" si="7"/>
        <v>5039.7590100000007</v>
      </c>
      <c r="Q11" s="36">
        <f t="shared" si="8"/>
        <v>292306.02258000005</v>
      </c>
      <c r="R11" s="11" t="str">
        <f t="shared" si="9"/>
        <v>SIN DESCUENTO</v>
      </c>
    </row>
    <row r="12" spans="1:18" ht="18.75">
      <c r="A12" s="16" t="s">
        <v>57</v>
      </c>
      <c r="B12" s="16" t="s">
        <v>70</v>
      </c>
      <c r="C12" s="16" t="s">
        <v>69</v>
      </c>
      <c r="D12" s="20">
        <v>10524</v>
      </c>
      <c r="E12" s="20">
        <v>13681.2</v>
      </c>
      <c r="F12" s="18">
        <f t="shared" si="0"/>
        <v>13681.2</v>
      </c>
      <c r="G12" s="20">
        <v>665</v>
      </c>
      <c r="H12" s="21">
        <v>9097998</v>
      </c>
      <c r="I12" s="36">
        <f t="shared" si="1"/>
        <v>24205.200000000001</v>
      </c>
      <c r="J12" s="11" t="str">
        <f t="shared" si="2"/>
        <v>HAY EXISTENCIAS AÙN</v>
      </c>
      <c r="K12" s="40">
        <f t="shared" si="3"/>
        <v>30326.66</v>
      </c>
      <c r="L12" s="11" t="str">
        <f t="shared" si="4"/>
        <v>DISPOSITIVOS DE SALIDA</v>
      </c>
      <c r="M12" s="38" t="str">
        <f>IF(E12+G12&lt;10000,H12*1/3,"VALE MUCHO")</f>
        <v>VALE MUCHO</v>
      </c>
      <c r="N12" s="37" t="str">
        <f t="shared" si="5"/>
        <v>ES ULTRA</v>
      </c>
      <c r="O12" s="11" t="str">
        <f t="shared" si="6"/>
        <v>SON COMPETITIVOS</v>
      </c>
      <c r="P12" s="39">
        <f t="shared" si="7"/>
        <v>6840.6</v>
      </c>
      <c r="Q12" s="36">
        <f t="shared" si="8"/>
        <v>454899.9</v>
      </c>
      <c r="R12" s="11">
        <f t="shared" si="9"/>
        <v>9097997.9499999993</v>
      </c>
    </row>
    <row r="13" spans="1:18" ht="18.75">
      <c r="A13" s="16" t="s">
        <v>71</v>
      </c>
      <c r="B13" s="16" t="s">
        <v>72</v>
      </c>
      <c r="C13" s="16" t="s">
        <v>73</v>
      </c>
      <c r="D13" s="20">
        <v>2050.5500000000002</v>
      </c>
      <c r="E13" s="20">
        <v>2665.7150000000001</v>
      </c>
      <c r="F13" s="18">
        <f t="shared" si="0"/>
        <v>2665.7150000000001</v>
      </c>
      <c r="G13" s="22">
        <v>653</v>
      </c>
      <c r="H13" s="21">
        <v>1740711.895</v>
      </c>
      <c r="I13" s="36">
        <f t="shared" si="1"/>
        <v>4716.2650000000003</v>
      </c>
      <c r="J13" s="11" t="str">
        <f t="shared" si="2"/>
        <v>HAY EXISTENCIAS AÙN</v>
      </c>
      <c r="K13" s="40" t="str">
        <f t="shared" si="3"/>
        <v>SON VENTAS MENORES</v>
      </c>
      <c r="L13" s="11" t="str">
        <f t="shared" si="4"/>
        <v>DISPOSITIVOS DE SALIDA</v>
      </c>
      <c r="M13" s="38">
        <f>IF(E13+G13&lt;10000,H13*1/3,"VALE MUCHO")</f>
        <v>580237.29833333334</v>
      </c>
      <c r="N13" s="37" t="str">
        <f t="shared" si="5"/>
        <v>ES ULTRA</v>
      </c>
      <c r="O13" s="11" t="str">
        <f t="shared" si="6"/>
        <v>SON COMPETITIVOS</v>
      </c>
      <c r="P13" s="39">
        <f t="shared" si="7"/>
        <v>1332.8575000000001</v>
      </c>
      <c r="Q13" s="36">
        <f t="shared" si="8"/>
        <v>87035.594750000004</v>
      </c>
      <c r="R13" s="11" t="str">
        <f t="shared" si="9"/>
        <v>SIN DESCUENTO</v>
      </c>
    </row>
    <row r="14" spans="1:18" ht="18.75">
      <c r="A14" s="16" t="s">
        <v>71</v>
      </c>
      <c r="B14" s="16" t="s">
        <v>74</v>
      </c>
      <c r="C14" s="16" t="s">
        <v>73</v>
      </c>
      <c r="D14" s="20">
        <v>2260.66</v>
      </c>
      <c r="E14" s="20">
        <v>2938.8579999999997</v>
      </c>
      <c r="F14" s="18">
        <f t="shared" si="0"/>
        <v>2938.8579999999997</v>
      </c>
      <c r="G14" s="22">
        <v>404</v>
      </c>
      <c r="H14" s="21">
        <v>1187298.632</v>
      </c>
      <c r="I14" s="36">
        <f t="shared" si="1"/>
        <v>5199.518</v>
      </c>
      <c r="J14" s="11" t="str">
        <f t="shared" si="2"/>
        <v>HAY EXISTENCIAS AÙN</v>
      </c>
      <c r="K14" s="40" t="str">
        <f t="shared" si="3"/>
        <v>SON VENTAS MENORES</v>
      </c>
      <c r="L14" s="11" t="str">
        <f t="shared" si="4"/>
        <v>DISPOSITIVOS DE SALIDA</v>
      </c>
      <c r="M14" s="38">
        <f>IF(E14+G14&lt;10000,H14*1/3,"VALE MUCHO")</f>
        <v>395766.21066666668</v>
      </c>
      <c r="N14" s="37" t="str">
        <f t="shared" si="5"/>
        <v>ES ULTRA</v>
      </c>
      <c r="O14" s="11" t="str">
        <f t="shared" si="6"/>
        <v>SON COMPETITIVOS</v>
      </c>
      <c r="P14" s="39">
        <f t="shared" si="7"/>
        <v>1469.4289999999999</v>
      </c>
      <c r="Q14" s="36">
        <f>IF(H14&gt;10000,H14*5%,0)</f>
        <v>59364.931600000004</v>
      </c>
      <c r="R14" s="11" t="str">
        <f t="shared" si="9"/>
        <v>SIN DESCUENTO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0"/>
  <sheetViews>
    <sheetView tabSelected="1" topLeftCell="G1" workbookViewId="0">
      <selection activeCell="Q4" sqref="Q4:Q15"/>
    </sheetView>
  </sheetViews>
  <sheetFormatPr baseColWidth="10" defaultRowHeight="15"/>
  <cols>
    <col min="7" max="9" width="12.7109375" customWidth="1"/>
    <col min="13" max="13" width="13.5703125" bestFit="1" customWidth="1"/>
    <col min="17" max="17" width="15.85546875" customWidth="1"/>
    <col min="19" max="19" width="15.42578125" customWidth="1"/>
    <col min="20" max="20" width="14.85546875" customWidth="1"/>
    <col min="22" max="22" width="11.42578125" customWidth="1"/>
  </cols>
  <sheetData>
    <row r="1" spans="1:22">
      <c r="A1" s="1"/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</row>
    <row r="2" spans="1:22">
      <c r="A2" s="1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5"/>
    </row>
    <row r="3" spans="1:22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79</v>
      </c>
      <c r="G3" s="4" t="s">
        <v>80</v>
      </c>
      <c r="H3" s="4" t="s">
        <v>89</v>
      </c>
      <c r="I3" s="4" t="s">
        <v>90</v>
      </c>
      <c r="J3" s="4" t="s">
        <v>5</v>
      </c>
      <c r="K3" s="5" t="s">
        <v>6</v>
      </c>
      <c r="L3" s="5" t="s">
        <v>7</v>
      </c>
      <c r="M3" s="5" t="s">
        <v>8</v>
      </c>
      <c r="N3" s="5" t="s">
        <v>9</v>
      </c>
      <c r="O3" s="5" t="s">
        <v>10</v>
      </c>
      <c r="P3" s="5" t="s">
        <v>11</v>
      </c>
      <c r="Q3" s="5" t="s">
        <v>12</v>
      </c>
      <c r="R3" s="5" t="s">
        <v>13</v>
      </c>
      <c r="S3" s="5" t="s">
        <v>14</v>
      </c>
      <c r="T3" s="9" t="s">
        <v>15</v>
      </c>
      <c r="U3" s="10" t="s">
        <v>16</v>
      </c>
      <c r="V3" s="10" t="s">
        <v>17</v>
      </c>
    </row>
    <row r="4" spans="1:22">
      <c r="A4" s="27">
        <v>1</v>
      </c>
      <c r="B4" s="34" t="s">
        <v>18</v>
      </c>
      <c r="C4" s="29">
        <v>7</v>
      </c>
      <c r="D4" s="30">
        <v>3600</v>
      </c>
      <c r="E4" s="31">
        <f>PRODUCT(C4,D4)</f>
        <v>25200</v>
      </c>
      <c r="F4" s="31">
        <f>SUM(E4,16)</f>
        <v>25216</v>
      </c>
      <c r="G4" s="31">
        <f>SUM(E4,3)</f>
        <v>25203</v>
      </c>
      <c r="H4" s="31">
        <f>AVERAGE(E4)</f>
        <v>25200</v>
      </c>
      <c r="I4" s="31">
        <f>MAX(J4)</f>
        <v>25213</v>
      </c>
      <c r="J4" s="31">
        <f>E4+F4-G4</f>
        <v>25213</v>
      </c>
      <c r="K4" s="28" t="str">
        <f>IF(D4&gt;9000,"COSTOSO","BARATO")</f>
        <v>BARATO</v>
      </c>
      <c r="L4" s="41">
        <f>IF(E4&lt;&gt;4900,C4+D4,"=RCUAD(D4)")</f>
        <v>3607</v>
      </c>
      <c r="M4" s="42">
        <f>IF(F4+G4&lt;8500,F4/G4,F4*G4)</f>
        <v>635518848</v>
      </c>
      <c r="N4" s="43">
        <f>IF(J4&gt;38000,D4*0.5,D4)</f>
        <v>3600</v>
      </c>
      <c r="O4" s="43">
        <f>IF(F4&lt;&gt;4060,E4+200,"NO CUMPLE")</f>
        <v>25400</v>
      </c>
      <c r="P4" s="28">
        <f>IF(D4&gt;=8,D4/2.5,D4)</f>
        <v>1440</v>
      </c>
      <c r="Q4" s="28">
        <f>IF(E4&lt;5900,E4*1/3,0)</f>
        <v>0</v>
      </c>
      <c r="R4" s="28">
        <f>IF(F4+G4&lt;&gt;6000,D4/3.5,FALSE)</f>
        <v>1028.5714285714287</v>
      </c>
      <c r="S4" s="28" t="str">
        <f>IF(F4+G4&lt;2500,"BAJO IMPUESTO","SOBRECOSTO")</f>
        <v>SOBRECOSTO</v>
      </c>
      <c r="T4" s="32" t="str">
        <f>IF(H4-I4=50000,D4*1/2,"QUE CHICHARRON")</f>
        <v>QUE CHICHARRON</v>
      </c>
      <c r="U4" s="33">
        <f>IF(E4&lt;60000,E4+12,F4+16)</f>
        <v>25212</v>
      </c>
      <c r="V4" s="33">
        <f>IF(E4&lt;=10000,E4-2.5,E4-3)</f>
        <v>25197</v>
      </c>
    </row>
    <row r="5" spans="1:22">
      <c r="A5" s="27">
        <v>2</v>
      </c>
      <c r="B5" s="28" t="s">
        <v>19</v>
      </c>
      <c r="C5" s="29">
        <v>5</v>
      </c>
      <c r="D5" s="30">
        <v>2600</v>
      </c>
      <c r="E5" s="31">
        <f t="shared" ref="E5:E15" si="0">PRODUCT(C5,D5)</f>
        <v>13000</v>
      </c>
      <c r="F5" s="31">
        <f t="shared" ref="F5:F15" si="1">SUM(E5,16)</f>
        <v>13016</v>
      </c>
      <c r="G5" s="31">
        <f t="shared" ref="G5:G15" si="2">SUM(E5,3)</f>
        <v>13003</v>
      </c>
      <c r="H5" s="31">
        <f t="shared" ref="H5:H15" si="3">AVERAGE(E5)</f>
        <v>13000</v>
      </c>
      <c r="I5" s="31">
        <f t="shared" ref="I5:I15" si="4">MAX(J5)</f>
        <v>13013</v>
      </c>
      <c r="J5" s="31">
        <f t="shared" ref="J5:J15" si="5">E5+F5-G5</f>
        <v>13013</v>
      </c>
      <c r="K5" s="28" t="str">
        <f t="shared" ref="K5:K15" si="6">IF(D5&gt;9000,"COSTOSO","BARATO")</f>
        <v>BARATO</v>
      </c>
      <c r="L5" s="41">
        <f t="shared" ref="L5:L15" si="7">IF(E5&lt;&gt;4900,C5+D5,"=RCUAD(D4)")</f>
        <v>2605</v>
      </c>
      <c r="M5" s="42">
        <f t="shared" ref="M5:M15" si="8">IF(F5+G5&lt;8500,F5/G5,F5*G5)</f>
        <v>169247048</v>
      </c>
      <c r="N5" s="43">
        <f t="shared" ref="N5:N15" si="9">IF(J5&gt;38000,D5*0.5,D5)</f>
        <v>2600</v>
      </c>
      <c r="O5" s="43">
        <f t="shared" ref="O5:O15" si="10">IF(F5&lt;&gt;4060,E5+200,"NO CUMPLE")</f>
        <v>13200</v>
      </c>
      <c r="P5" s="28">
        <f t="shared" ref="P5:P15" si="11">IF(D5&gt;=8,D5/2.5,D5)</f>
        <v>1040</v>
      </c>
      <c r="Q5" s="28">
        <f t="shared" ref="Q5:Q15" si="12">IF(E5&lt;5900,E5*1/3,0)</f>
        <v>0</v>
      </c>
      <c r="R5" s="28">
        <f t="shared" ref="R5:R15" si="13">IF(F5+G5&lt;&gt;6000,D5/3.5,FALSE)</f>
        <v>742.85714285714289</v>
      </c>
      <c r="S5" s="28" t="str">
        <f t="shared" ref="S5:S15" si="14">IF(F5+G5&lt;2500,"BAJO IMPUESTO","SOBRECOSTO")</f>
        <v>SOBRECOSTO</v>
      </c>
      <c r="T5" s="32" t="str">
        <f t="shared" ref="T5:T15" si="15">IF(H5-I5=50000,D5*1/2,"QUE CHICHARRON")</f>
        <v>QUE CHICHARRON</v>
      </c>
      <c r="U5" s="33">
        <f t="shared" ref="U5:U15" si="16">IF(E5&lt;60000,E5+12,F5+16)</f>
        <v>13012</v>
      </c>
      <c r="V5" s="33">
        <f t="shared" ref="V5:V15" si="17">IF(E5&lt;=10000,E5-2.5,E5-3)</f>
        <v>12997</v>
      </c>
    </row>
    <row r="6" spans="1:22">
      <c r="A6" s="27">
        <v>3</v>
      </c>
      <c r="B6" s="34" t="s">
        <v>76</v>
      </c>
      <c r="C6" s="29">
        <v>4</v>
      </c>
      <c r="D6" s="35">
        <v>10.5</v>
      </c>
      <c r="E6" s="31">
        <f t="shared" si="0"/>
        <v>42</v>
      </c>
      <c r="F6" s="31">
        <f t="shared" si="1"/>
        <v>58</v>
      </c>
      <c r="G6" s="31">
        <f t="shared" si="2"/>
        <v>45</v>
      </c>
      <c r="H6" s="31">
        <f t="shared" si="3"/>
        <v>42</v>
      </c>
      <c r="I6" s="31">
        <f t="shared" si="4"/>
        <v>55</v>
      </c>
      <c r="J6" s="31">
        <f t="shared" si="5"/>
        <v>55</v>
      </c>
      <c r="K6" s="28" t="str">
        <f t="shared" si="6"/>
        <v>BARATO</v>
      </c>
      <c r="L6" s="41">
        <f t="shared" si="7"/>
        <v>14.5</v>
      </c>
      <c r="M6" s="42">
        <f t="shared" si="8"/>
        <v>1.288888888888889</v>
      </c>
      <c r="N6" s="43">
        <f t="shared" si="9"/>
        <v>10.5</v>
      </c>
      <c r="O6" s="43">
        <f t="shared" si="10"/>
        <v>242</v>
      </c>
      <c r="P6" s="28">
        <f t="shared" si="11"/>
        <v>4.2</v>
      </c>
      <c r="Q6" s="28">
        <f t="shared" si="12"/>
        <v>14</v>
      </c>
      <c r="R6" s="28">
        <f t="shared" si="13"/>
        <v>3</v>
      </c>
      <c r="S6" s="28" t="str">
        <f t="shared" si="14"/>
        <v>BAJO IMPUESTO</v>
      </c>
      <c r="T6" s="32" t="str">
        <f t="shared" si="15"/>
        <v>QUE CHICHARRON</v>
      </c>
      <c r="U6" s="33">
        <f t="shared" si="16"/>
        <v>54</v>
      </c>
      <c r="V6" s="33">
        <f t="shared" si="17"/>
        <v>39.5</v>
      </c>
    </row>
    <row r="7" spans="1:22">
      <c r="A7" s="27">
        <v>4</v>
      </c>
      <c r="B7" s="28" t="s">
        <v>20</v>
      </c>
      <c r="C7" s="29">
        <v>10</v>
      </c>
      <c r="D7" s="30">
        <v>5600</v>
      </c>
      <c r="E7" s="31">
        <f t="shared" si="0"/>
        <v>56000</v>
      </c>
      <c r="F7" s="31">
        <f t="shared" si="1"/>
        <v>56016</v>
      </c>
      <c r="G7" s="31">
        <f t="shared" si="2"/>
        <v>56003</v>
      </c>
      <c r="H7" s="31">
        <f t="shared" si="3"/>
        <v>56000</v>
      </c>
      <c r="I7" s="31">
        <f t="shared" si="4"/>
        <v>56013</v>
      </c>
      <c r="J7" s="31">
        <f t="shared" si="5"/>
        <v>56013</v>
      </c>
      <c r="K7" s="28" t="str">
        <f t="shared" si="6"/>
        <v>BARATO</v>
      </c>
      <c r="L7" s="41">
        <f t="shared" si="7"/>
        <v>5610</v>
      </c>
      <c r="M7" s="42">
        <f t="shared" si="8"/>
        <v>3137064048</v>
      </c>
      <c r="N7" s="43">
        <f t="shared" si="9"/>
        <v>2800</v>
      </c>
      <c r="O7" s="43">
        <f t="shared" si="10"/>
        <v>56200</v>
      </c>
      <c r="P7" s="28">
        <f t="shared" si="11"/>
        <v>2240</v>
      </c>
      <c r="Q7" s="28">
        <f t="shared" si="12"/>
        <v>0</v>
      </c>
      <c r="R7" s="28">
        <f t="shared" si="13"/>
        <v>1600</v>
      </c>
      <c r="S7" s="28" t="str">
        <f t="shared" si="14"/>
        <v>SOBRECOSTO</v>
      </c>
      <c r="T7" s="32" t="str">
        <f t="shared" si="15"/>
        <v>QUE CHICHARRON</v>
      </c>
      <c r="U7" s="33">
        <f t="shared" si="16"/>
        <v>56012</v>
      </c>
      <c r="V7" s="33">
        <f t="shared" si="17"/>
        <v>55997</v>
      </c>
    </row>
    <row r="8" spans="1:22">
      <c r="A8" s="27">
        <v>5</v>
      </c>
      <c r="B8" s="28" t="s">
        <v>21</v>
      </c>
      <c r="C8" s="29">
        <v>5</v>
      </c>
      <c r="D8" s="30">
        <v>3800</v>
      </c>
      <c r="E8" s="31">
        <f t="shared" si="0"/>
        <v>19000</v>
      </c>
      <c r="F8" s="31">
        <f t="shared" si="1"/>
        <v>19016</v>
      </c>
      <c r="G8" s="31">
        <f t="shared" si="2"/>
        <v>19003</v>
      </c>
      <c r="H8" s="31">
        <f t="shared" si="3"/>
        <v>19000</v>
      </c>
      <c r="I8" s="31">
        <f t="shared" si="4"/>
        <v>19013</v>
      </c>
      <c r="J8" s="31">
        <f t="shared" si="5"/>
        <v>19013</v>
      </c>
      <c r="K8" s="28" t="str">
        <f t="shared" si="6"/>
        <v>BARATO</v>
      </c>
      <c r="L8" s="41">
        <f t="shared" si="7"/>
        <v>3805</v>
      </c>
      <c r="M8" s="42">
        <f t="shared" si="8"/>
        <v>361361048</v>
      </c>
      <c r="N8" s="43">
        <f t="shared" si="9"/>
        <v>3800</v>
      </c>
      <c r="O8" s="43">
        <f t="shared" si="10"/>
        <v>19200</v>
      </c>
      <c r="P8" s="28">
        <f t="shared" si="11"/>
        <v>1520</v>
      </c>
      <c r="Q8" s="28">
        <f t="shared" si="12"/>
        <v>0</v>
      </c>
      <c r="R8" s="28">
        <f t="shared" si="13"/>
        <v>1085.7142857142858</v>
      </c>
      <c r="S8" s="28" t="str">
        <f t="shared" si="14"/>
        <v>SOBRECOSTO</v>
      </c>
      <c r="T8" s="32" t="str">
        <f t="shared" si="15"/>
        <v>QUE CHICHARRON</v>
      </c>
      <c r="U8" s="33">
        <f t="shared" si="16"/>
        <v>19012</v>
      </c>
      <c r="V8" s="33">
        <f t="shared" si="17"/>
        <v>18997</v>
      </c>
    </row>
    <row r="9" spans="1:22">
      <c r="A9" s="27">
        <v>6</v>
      </c>
      <c r="B9" s="28" t="s">
        <v>22</v>
      </c>
      <c r="C9" s="29">
        <v>8</v>
      </c>
      <c r="D9" s="30">
        <v>2300</v>
      </c>
      <c r="E9" s="31">
        <f t="shared" si="0"/>
        <v>18400</v>
      </c>
      <c r="F9" s="31">
        <f t="shared" si="1"/>
        <v>18416</v>
      </c>
      <c r="G9" s="31">
        <f t="shared" si="2"/>
        <v>18403</v>
      </c>
      <c r="H9" s="31">
        <f t="shared" si="3"/>
        <v>18400</v>
      </c>
      <c r="I9" s="31">
        <f t="shared" si="4"/>
        <v>18413</v>
      </c>
      <c r="J9" s="31">
        <f t="shared" si="5"/>
        <v>18413</v>
      </c>
      <c r="K9" s="28" t="str">
        <f t="shared" si="6"/>
        <v>BARATO</v>
      </c>
      <c r="L9" s="41">
        <f t="shared" si="7"/>
        <v>2308</v>
      </c>
      <c r="M9" s="42">
        <f t="shared" si="8"/>
        <v>338909648</v>
      </c>
      <c r="N9" s="43">
        <f t="shared" si="9"/>
        <v>2300</v>
      </c>
      <c r="O9" s="43">
        <f t="shared" si="10"/>
        <v>18600</v>
      </c>
      <c r="P9" s="28">
        <f t="shared" si="11"/>
        <v>920</v>
      </c>
      <c r="Q9" s="28">
        <f t="shared" si="12"/>
        <v>0</v>
      </c>
      <c r="R9" s="28">
        <f t="shared" si="13"/>
        <v>657.14285714285711</v>
      </c>
      <c r="S9" s="28" t="str">
        <f t="shared" si="14"/>
        <v>SOBRECOSTO</v>
      </c>
      <c r="T9" s="32" t="str">
        <f t="shared" si="15"/>
        <v>QUE CHICHARRON</v>
      </c>
      <c r="U9" s="33">
        <f t="shared" si="16"/>
        <v>18412</v>
      </c>
      <c r="V9" s="33">
        <f t="shared" si="17"/>
        <v>18397</v>
      </c>
    </row>
    <row r="10" spans="1:22">
      <c r="A10" s="27">
        <v>7</v>
      </c>
      <c r="B10" s="28" t="s">
        <v>23</v>
      </c>
      <c r="C10" s="29">
        <v>3</v>
      </c>
      <c r="D10" s="30">
        <v>900</v>
      </c>
      <c r="E10" s="31">
        <f t="shared" si="0"/>
        <v>2700</v>
      </c>
      <c r="F10" s="31">
        <f t="shared" si="1"/>
        <v>2716</v>
      </c>
      <c r="G10" s="31">
        <f t="shared" si="2"/>
        <v>2703</v>
      </c>
      <c r="H10" s="31">
        <f t="shared" si="3"/>
        <v>2700</v>
      </c>
      <c r="I10" s="31">
        <f t="shared" si="4"/>
        <v>2713</v>
      </c>
      <c r="J10" s="31">
        <f t="shared" si="5"/>
        <v>2713</v>
      </c>
      <c r="K10" s="28" t="str">
        <f t="shared" si="6"/>
        <v>BARATO</v>
      </c>
      <c r="L10" s="41">
        <f t="shared" si="7"/>
        <v>903</v>
      </c>
      <c r="M10" s="42">
        <f t="shared" si="8"/>
        <v>1.0048094709581945</v>
      </c>
      <c r="N10" s="43">
        <f t="shared" si="9"/>
        <v>900</v>
      </c>
      <c r="O10" s="43">
        <f t="shared" si="10"/>
        <v>2900</v>
      </c>
      <c r="P10" s="28">
        <f t="shared" si="11"/>
        <v>360</v>
      </c>
      <c r="Q10" s="28">
        <f t="shared" si="12"/>
        <v>900</v>
      </c>
      <c r="R10" s="28">
        <f t="shared" si="13"/>
        <v>257.14285714285717</v>
      </c>
      <c r="S10" s="28" t="str">
        <f t="shared" si="14"/>
        <v>SOBRECOSTO</v>
      </c>
      <c r="T10" s="32" t="str">
        <f t="shared" si="15"/>
        <v>QUE CHICHARRON</v>
      </c>
      <c r="U10" s="33">
        <f t="shared" si="16"/>
        <v>2712</v>
      </c>
      <c r="V10" s="33">
        <f t="shared" si="17"/>
        <v>2697.5</v>
      </c>
    </row>
    <row r="11" spans="1:22">
      <c r="A11" s="27">
        <v>8</v>
      </c>
      <c r="B11" s="34" t="s">
        <v>77</v>
      </c>
      <c r="C11" s="29">
        <v>11</v>
      </c>
      <c r="D11" s="30">
        <v>4010</v>
      </c>
      <c r="E11" s="31">
        <f t="shared" si="0"/>
        <v>44110</v>
      </c>
      <c r="F11" s="31">
        <f t="shared" si="1"/>
        <v>44126</v>
      </c>
      <c r="G11" s="31">
        <f t="shared" si="2"/>
        <v>44113</v>
      </c>
      <c r="H11" s="31">
        <f t="shared" si="3"/>
        <v>44110</v>
      </c>
      <c r="I11" s="31">
        <f t="shared" si="4"/>
        <v>44123</v>
      </c>
      <c r="J11" s="31">
        <f t="shared" si="5"/>
        <v>44123</v>
      </c>
      <c r="K11" s="28" t="str">
        <f t="shared" si="6"/>
        <v>BARATO</v>
      </c>
      <c r="L11" s="41">
        <f t="shared" si="7"/>
        <v>4021</v>
      </c>
      <c r="M11" s="42">
        <f t="shared" si="8"/>
        <v>1946530238</v>
      </c>
      <c r="N11" s="43">
        <f t="shared" si="9"/>
        <v>2005</v>
      </c>
      <c r="O11" s="43">
        <f t="shared" si="10"/>
        <v>44310</v>
      </c>
      <c r="P11" s="28">
        <f t="shared" si="11"/>
        <v>1604</v>
      </c>
      <c r="Q11" s="28">
        <f t="shared" si="12"/>
        <v>0</v>
      </c>
      <c r="R11" s="28">
        <f t="shared" si="13"/>
        <v>1145.7142857142858</v>
      </c>
      <c r="S11" s="28" t="str">
        <f t="shared" si="14"/>
        <v>SOBRECOSTO</v>
      </c>
      <c r="T11" s="32" t="str">
        <f t="shared" si="15"/>
        <v>QUE CHICHARRON</v>
      </c>
      <c r="U11" s="33">
        <f t="shared" si="16"/>
        <v>44122</v>
      </c>
      <c r="V11" s="33">
        <f t="shared" si="17"/>
        <v>44107</v>
      </c>
    </row>
    <row r="12" spans="1:22">
      <c r="A12" s="27">
        <v>9</v>
      </c>
      <c r="B12" s="28" t="s">
        <v>24</v>
      </c>
      <c r="C12" s="29">
        <v>7</v>
      </c>
      <c r="D12" s="30">
        <v>2900</v>
      </c>
      <c r="E12" s="31">
        <f t="shared" si="0"/>
        <v>20300</v>
      </c>
      <c r="F12" s="31">
        <f t="shared" si="1"/>
        <v>20316</v>
      </c>
      <c r="G12" s="31">
        <f t="shared" si="2"/>
        <v>20303</v>
      </c>
      <c r="H12" s="31">
        <f t="shared" si="3"/>
        <v>20300</v>
      </c>
      <c r="I12" s="31">
        <f t="shared" si="4"/>
        <v>20313</v>
      </c>
      <c r="J12" s="31">
        <f t="shared" si="5"/>
        <v>20313</v>
      </c>
      <c r="K12" s="28" t="str">
        <f t="shared" si="6"/>
        <v>BARATO</v>
      </c>
      <c r="L12" s="41">
        <f t="shared" si="7"/>
        <v>2907</v>
      </c>
      <c r="M12" s="42">
        <f t="shared" si="8"/>
        <v>412475748</v>
      </c>
      <c r="N12" s="43">
        <f t="shared" si="9"/>
        <v>2900</v>
      </c>
      <c r="O12" s="43">
        <f t="shared" si="10"/>
        <v>20500</v>
      </c>
      <c r="P12" s="28">
        <f t="shared" si="11"/>
        <v>1160</v>
      </c>
      <c r="Q12" s="28">
        <f t="shared" si="12"/>
        <v>0</v>
      </c>
      <c r="R12" s="28">
        <f t="shared" si="13"/>
        <v>828.57142857142856</v>
      </c>
      <c r="S12" s="28" t="str">
        <f t="shared" si="14"/>
        <v>SOBRECOSTO</v>
      </c>
      <c r="T12" s="32" t="str">
        <f t="shared" si="15"/>
        <v>QUE CHICHARRON</v>
      </c>
      <c r="U12" s="33">
        <f t="shared" si="16"/>
        <v>20312</v>
      </c>
      <c r="V12" s="33">
        <f t="shared" si="17"/>
        <v>20297</v>
      </c>
    </row>
    <row r="13" spans="1:22">
      <c r="A13" s="27">
        <v>10</v>
      </c>
      <c r="B13" s="28" t="s">
        <v>25</v>
      </c>
      <c r="C13" s="29">
        <v>6</v>
      </c>
      <c r="D13" s="35">
        <v>4.5999999999999996</v>
      </c>
      <c r="E13" s="31">
        <f t="shared" si="0"/>
        <v>27.599999999999998</v>
      </c>
      <c r="F13" s="31">
        <f t="shared" si="1"/>
        <v>43.599999999999994</v>
      </c>
      <c r="G13" s="31">
        <f t="shared" si="2"/>
        <v>30.599999999999998</v>
      </c>
      <c r="H13" s="31">
        <f t="shared" si="3"/>
        <v>27.599999999999998</v>
      </c>
      <c r="I13" s="31">
        <f t="shared" si="4"/>
        <v>40.599999999999994</v>
      </c>
      <c r="J13" s="31">
        <f t="shared" si="5"/>
        <v>40.599999999999994</v>
      </c>
      <c r="K13" s="28" t="str">
        <f t="shared" si="6"/>
        <v>BARATO</v>
      </c>
      <c r="L13" s="41">
        <f t="shared" si="7"/>
        <v>10.6</v>
      </c>
      <c r="M13" s="42">
        <f t="shared" si="8"/>
        <v>1.4248366013071894</v>
      </c>
      <c r="N13" s="43">
        <f t="shared" si="9"/>
        <v>4.5999999999999996</v>
      </c>
      <c r="O13" s="43">
        <f t="shared" si="10"/>
        <v>227.6</v>
      </c>
      <c r="P13" s="28">
        <f t="shared" si="11"/>
        <v>4.5999999999999996</v>
      </c>
      <c r="Q13" s="28">
        <f t="shared" si="12"/>
        <v>9.1999999999999993</v>
      </c>
      <c r="R13" s="28">
        <f t="shared" si="13"/>
        <v>1.3142857142857143</v>
      </c>
      <c r="S13" s="28" t="str">
        <f t="shared" si="14"/>
        <v>BAJO IMPUESTO</v>
      </c>
      <c r="T13" s="32" t="str">
        <f t="shared" si="15"/>
        <v>QUE CHICHARRON</v>
      </c>
      <c r="U13" s="33">
        <f t="shared" si="16"/>
        <v>39.599999999999994</v>
      </c>
      <c r="V13" s="33">
        <f t="shared" si="17"/>
        <v>25.099999999999998</v>
      </c>
    </row>
    <row r="14" spans="1:22">
      <c r="A14" s="27">
        <v>11</v>
      </c>
      <c r="B14" s="34" t="s">
        <v>75</v>
      </c>
      <c r="C14" s="29">
        <v>9</v>
      </c>
      <c r="D14" s="30">
        <v>9800</v>
      </c>
      <c r="E14" s="31">
        <f t="shared" si="0"/>
        <v>88200</v>
      </c>
      <c r="F14" s="31">
        <f t="shared" si="1"/>
        <v>88216</v>
      </c>
      <c r="G14" s="31">
        <f t="shared" si="2"/>
        <v>88203</v>
      </c>
      <c r="H14" s="31">
        <f t="shared" si="3"/>
        <v>88200</v>
      </c>
      <c r="I14" s="31">
        <f t="shared" si="4"/>
        <v>88213</v>
      </c>
      <c r="J14" s="31">
        <f t="shared" si="5"/>
        <v>88213</v>
      </c>
      <c r="K14" s="28" t="str">
        <f t="shared" si="6"/>
        <v>COSTOSO</v>
      </c>
      <c r="L14" s="41">
        <f t="shared" si="7"/>
        <v>9809</v>
      </c>
      <c r="M14" s="42">
        <f t="shared" si="8"/>
        <v>7780915848</v>
      </c>
      <c r="N14" s="43">
        <f t="shared" si="9"/>
        <v>4900</v>
      </c>
      <c r="O14" s="43">
        <f t="shared" si="10"/>
        <v>88400</v>
      </c>
      <c r="P14" s="28">
        <f t="shared" si="11"/>
        <v>3920</v>
      </c>
      <c r="Q14" s="28">
        <f t="shared" si="12"/>
        <v>0</v>
      </c>
      <c r="R14" s="28">
        <f t="shared" si="13"/>
        <v>2800</v>
      </c>
      <c r="S14" s="28" t="str">
        <f t="shared" si="14"/>
        <v>SOBRECOSTO</v>
      </c>
      <c r="T14" s="32" t="str">
        <f t="shared" si="15"/>
        <v>QUE CHICHARRON</v>
      </c>
      <c r="U14" s="33">
        <f t="shared" si="16"/>
        <v>88232</v>
      </c>
      <c r="V14" s="33">
        <f t="shared" si="17"/>
        <v>88197</v>
      </c>
    </row>
    <row r="15" spans="1:22">
      <c r="A15" s="27">
        <v>12</v>
      </c>
      <c r="B15" s="34" t="s">
        <v>78</v>
      </c>
      <c r="C15" s="29">
        <v>2</v>
      </c>
      <c r="D15" s="30">
        <v>10600</v>
      </c>
      <c r="E15" s="31">
        <f t="shared" si="0"/>
        <v>21200</v>
      </c>
      <c r="F15" s="31">
        <f t="shared" si="1"/>
        <v>21216</v>
      </c>
      <c r="G15" s="31">
        <f t="shared" si="2"/>
        <v>21203</v>
      </c>
      <c r="H15" s="31">
        <f t="shared" si="3"/>
        <v>21200</v>
      </c>
      <c r="I15" s="31">
        <f t="shared" si="4"/>
        <v>21213</v>
      </c>
      <c r="J15" s="31">
        <f t="shared" si="5"/>
        <v>21213</v>
      </c>
      <c r="K15" s="28" t="str">
        <f t="shared" si="6"/>
        <v>COSTOSO</v>
      </c>
      <c r="L15" s="41">
        <f t="shared" si="7"/>
        <v>10602</v>
      </c>
      <c r="M15" s="42">
        <f t="shared" si="8"/>
        <v>449842848</v>
      </c>
      <c r="N15" s="43">
        <f t="shared" si="9"/>
        <v>10600</v>
      </c>
      <c r="O15" s="43">
        <f t="shared" si="10"/>
        <v>21400</v>
      </c>
      <c r="P15" s="28">
        <f t="shared" si="11"/>
        <v>4240</v>
      </c>
      <c r="Q15" s="28">
        <f t="shared" si="12"/>
        <v>0</v>
      </c>
      <c r="R15" s="28">
        <f t="shared" si="13"/>
        <v>3028.5714285714284</v>
      </c>
      <c r="S15" s="28" t="str">
        <f t="shared" si="14"/>
        <v>SOBRECOSTO</v>
      </c>
      <c r="T15" s="32" t="str">
        <f t="shared" si="15"/>
        <v>QUE CHICHARRON</v>
      </c>
      <c r="U15" s="33">
        <f t="shared" si="16"/>
        <v>21212</v>
      </c>
      <c r="V15" s="33">
        <f t="shared" si="17"/>
        <v>21197</v>
      </c>
    </row>
    <row r="16" spans="1:22">
      <c r="A16" s="46" t="s">
        <v>26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7"/>
    </row>
    <row r="17" spans="1:22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7"/>
    </row>
    <row r="18" spans="1:2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6"/>
      <c r="V18" s="6"/>
    </row>
    <row r="19" spans="1:22">
      <c r="A19" s="2" t="s">
        <v>81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2" t="s">
        <v>82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A21" s="2" t="s">
        <v>83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A22" s="2" t="s">
        <v>84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2" t="s">
        <v>85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2" t="s">
        <v>27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2" t="s">
        <v>86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2" t="s">
        <v>28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2" t="s">
        <v>29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2" t="s">
        <v>30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2" t="s">
        <v>31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 t="s">
        <v>87</v>
      </c>
      <c r="B30" s="1"/>
      <c r="C30" s="1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</sheetData>
  <mergeCells count="2">
    <mergeCell ref="B1:V2"/>
    <mergeCell ref="A16:V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Condicionales 1</vt:lpstr>
      <vt:lpstr>Condicionales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Liseth Arrieta</dc:creator>
  <cp:lastModifiedBy>yomaira</cp:lastModifiedBy>
  <dcterms:created xsi:type="dcterms:W3CDTF">2014-06-25T15:41:48Z</dcterms:created>
  <dcterms:modified xsi:type="dcterms:W3CDTF">2014-07-17T01:38:27Z</dcterms:modified>
</cp:coreProperties>
</file>